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作業報告書" sheetId="1" state="visible" r:id="rId1"/>
    <sheet xmlns:r="http://schemas.openxmlformats.org/officeDocument/2006/relationships" name="使い方" sheetId="2" state="visible" r:id="rId2"/>
  </sheets>
  <definedNames>
    <definedName name="_xlnm.Print_Area" localSheetId="0">'作業報告書'!$A$1:$G$52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yyyy年m月"/>
    <numFmt numFmtId="166" formatCode="0.##"/>
    <numFmt numFmtId="167" formatCode="m/d"/>
    <numFmt numFmtId="168" formatCode="[h]:mm"/>
  </numFmts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E2E8F0"/>
      </patternFill>
    </fill>
    <fill>
      <patternFill patternType="solid">
        <fgColor rgb="00F1F5F9"/>
      </patternFill>
    </fill>
  </fills>
  <borders count="6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/>
      <top style="thin">
        <color rgb="00CBD5E1"/>
      </top>
      <bottom style="thin">
        <color rgb="00CBD5E1"/>
      </bottom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5" fontId="0" fillId="2" borderId="1" pivotButton="0" quotePrefix="0" xfId="0"/>
    <xf numFmtId="0" fontId="0" fillId="0" borderId="5" pivotButton="0" quotePrefix="0" xfId="0"/>
    <xf numFmtId="0" fontId="0" fillId="2" borderId="1" pivotButton="0" quotePrefix="0" xfId="0"/>
    <xf numFmtId="0" fontId="0" fillId="0" borderId="4" pivotButton="0" quotePrefix="0" xfId="0"/>
    <xf numFmtId="166" fontId="0" fillId="2" borderId="1" pivotButton="0" quotePrefix="0" xfId="0"/>
    <xf numFmtId="0" fontId="2" fillId="3" borderId="1" applyAlignment="1" pivotButton="0" quotePrefix="0" xfId="0">
      <alignment horizontal="center"/>
    </xf>
    <xf numFmtId="167" fontId="0" fillId="0" borderId="1" pivotButton="0" quotePrefix="0" xfId="0"/>
    <xf numFmtId="0" fontId="0" fillId="0" borderId="1" applyAlignment="1" pivotButton="0" quotePrefix="0" xfId="0">
      <alignment horizontal="center"/>
    </xf>
    <xf numFmtId="20" fontId="0" fillId="2" borderId="1" pivotButton="0" quotePrefix="0" xfId="0"/>
    <xf numFmtId="168" fontId="0" fillId="4" borderId="1" pivotButton="0" quotePrefix="0" xfId="0"/>
    <xf numFmtId="1" fontId="2" fillId="4" borderId="1" pivotButton="0" quotePrefix="0" xfId="0"/>
    <xf numFmtId="168" fontId="2" fillId="4" borderId="1" pivotButton="0" quotePrefix="0" xfId="0"/>
    <xf numFmtId="2" fontId="2" fillId="4" borderId="1" pivotButton="0" quotePrefix="0" xfId="0"/>
    <xf numFmtId="0" fontId="0" fillId="0" borderId="1" pivotButton="0" quotePrefix="0" xfId="0"/>
    <xf numFmtId="0" fontId="3" fillId="0" borderId="0" pivotButton="0" quotePrefix="0" xfId="0"/>
    <xf numFmtId="0" fontId="2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E5E7EB"/>
          <bgColor rgb="00E5E7E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締め係</author>
  </authors>
  <commentList>
    <comment ref="A3" authorId="0" shapeId="0">
      <text>
        <t>月の1日を入れると、日付と曜日が出ます</t>
      </text>
    </comment>
    <comment ref="A7" authorId="0" shapeId="0">
      <text>
        <t>契約書（注文書）の下限の時間。精算しないなら 0</t>
      </text>
    </comment>
    <comment ref="A8" authorId="0" shapeId="0">
      <text>
        <t>契約書（注文書）の上限の時間。精算しないなら 0</t>
      </text>
    </comment>
    <comment ref="A9" authorId="0" shapeId="0">
      <text>
        <t>0＝刻まない。15・30・60＝月の合計のその分未満を切り捨て。日ごとに刻む契約なら、刻んだ時刻を入れてください</t>
      </text>
    </comment>
    <comment ref="A48" authorId="0" shapeId="0">
      <text>
        <t>この時間を、精算の雛形（https://shimegakari.com/hinagata/）の「実績（時間）」の列に入れると、超過・控除の額と請求額が出ます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2"/>
  <sheetViews>
    <sheetView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14" customWidth="1" min="1" max="1"/>
    <col width="5" customWidth="1" min="2" max="2"/>
    <col width="8" customWidth="1" min="3" max="3"/>
    <col width="8" customWidth="1" min="4" max="4"/>
    <col width="8" customWidth="1" min="5" max="5"/>
    <col width="8" customWidth="1" min="6" max="6"/>
    <col width="30" customWidth="1" min="7" max="7"/>
  </cols>
  <sheetData>
    <row r="1">
      <c r="A1" s="1" t="inlineStr">
        <is>
          <t>作業報告書</t>
        </is>
      </c>
    </row>
    <row r="3">
      <c r="A3" s="2" t="inlineStr">
        <is>
          <t>対象月</t>
        </is>
      </c>
      <c r="C3" s="3" t="n">
        <v>46296</v>
      </c>
      <c r="D3" s="4" t="n"/>
    </row>
    <row r="4">
      <c r="A4" s="2" t="inlineStr">
        <is>
          <t>作業者</t>
        </is>
      </c>
      <c r="C4" s="5" t="inlineStr">
        <is>
          <t>例1</t>
        </is>
      </c>
      <c r="D4" s="6" t="n"/>
      <c r="E4" s="6" t="n"/>
      <c r="F4" s="6" t="n"/>
      <c r="G4" s="4" t="n"/>
    </row>
    <row r="5">
      <c r="A5" s="2" t="inlineStr">
        <is>
          <t>所属</t>
        </is>
      </c>
      <c r="C5" s="5" t="inlineStr">
        <is>
          <t>株式会社〇〇</t>
        </is>
      </c>
      <c r="D5" s="6" t="n"/>
      <c r="E5" s="6" t="n"/>
      <c r="F5" s="6" t="n"/>
      <c r="G5" s="4" t="n"/>
    </row>
    <row r="6">
      <c r="A6" s="2" t="inlineStr">
        <is>
          <t>客先・案件</t>
        </is>
      </c>
      <c r="C6" s="5" t="inlineStr">
        <is>
          <t>〇〇株式会社 システム開発の支援</t>
        </is>
      </c>
      <c r="D6" s="6" t="n"/>
      <c r="E6" s="6" t="n"/>
      <c r="F6" s="6" t="n"/>
      <c r="G6" s="4" t="n"/>
    </row>
    <row r="7">
      <c r="A7" s="2" t="inlineStr">
        <is>
          <t>精算幅の下限</t>
        </is>
      </c>
      <c r="C7" s="7" t="n">
        <v>140</v>
      </c>
      <c r="D7" t="inlineStr">
        <is>
          <t>時間</t>
        </is>
      </c>
    </row>
    <row r="8">
      <c r="A8" s="2" t="inlineStr">
        <is>
          <t>精算幅の上限</t>
        </is>
      </c>
      <c r="C8" s="7" t="n">
        <v>180</v>
      </c>
      <c r="D8" t="inlineStr">
        <is>
          <t>時間</t>
        </is>
      </c>
    </row>
    <row r="9">
      <c r="A9" s="2" t="inlineStr">
        <is>
          <t>実績の刻み（分）</t>
        </is>
      </c>
      <c r="C9" s="5" t="n">
        <v>0</v>
      </c>
    </row>
    <row r="12">
      <c r="A12" s="8" t="inlineStr">
        <is>
          <t>日付</t>
        </is>
      </c>
      <c r="B12" s="8" t="inlineStr">
        <is>
          <t>曜日</t>
        </is>
      </c>
      <c r="C12" s="8" t="inlineStr">
        <is>
          <t>開始</t>
        </is>
      </c>
      <c r="D12" s="8" t="inlineStr">
        <is>
          <t>終了</t>
        </is>
      </c>
      <c r="E12" s="8" t="inlineStr">
        <is>
          <t>休憩</t>
        </is>
      </c>
      <c r="F12" s="8" t="inlineStr">
        <is>
          <t>実働</t>
        </is>
      </c>
      <c r="G12" s="8" t="inlineStr">
        <is>
          <t>作業の内容</t>
        </is>
      </c>
    </row>
    <row r="13">
      <c r="A13" s="9">
        <f>IF(1&lt;=DAY(EOMONTH($C$3,0)),DATE(YEAR($C$3),MONTH($C$3),1),"")</f>
        <v/>
      </c>
      <c r="B13" s="10">
        <f>IF(A13="","",CHOOSE(WEEKDAY(A13),"日","月","火","水","木","金","土"))</f>
        <v/>
      </c>
      <c r="C13" s="11" t="n">
        <v>0.375</v>
      </c>
      <c r="D13" s="11" t="n">
        <v>0.7916666666666666</v>
      </c>
      <c r="E13" s="11" t="n">
        <v>0.04166666666666666</v>
      </c>
      <c r="F13" s="12">
        <f>IF(OR(C13="",D13=""),"",MAX(0,ROUND(MOD(D13-C13,1)*1440,0)-ROUND(N(E13)*1440,0))/1440)</f>
        <v/>
      </c>
      <c r="G13" s="5" t="inlineStr">
        <is>
          <t>詳細設計</t>
        </is>
      </c>
    </row>
    <row r="14">
      <c r="A14" s="9">
        <f>IF(2&lt;=DAY(EOMONTH($C$3,0)),DATE(YEAR($C$3),MONTH($C$3),2),"")</f>
        <v/>
      </c>
      <c r="B14" s="10">
        <f>IF(A14="","",CHOOSE(WEEKDAY(A14),"日","月","火","水","木","金","土"))</f>
        <v/>
      </c>
      <c r="C14" s="11" t="n">
        <v>0.375</v>
      </c>
      <c r="D14" s="11" t="n">
        <v>0.75</v>
      </c>
      <c r="E14" s="11" t="n">
        <v>0.04166666666666666</v>
      </c>
      <c r="F14" s="12">
        <f>IF(OR(C14="",D14=""),"",MAX(0,ROUND(MOD(D14-C14,1)*1440,0)-ROUND(N(E14)*1440,0))/1440)</f>
        <v/>
      </c>
      <c r="G14" s="5" t="n"/>
    </row>
    <row r="15">
      <c r="A15" s="9">
        <f>IF(3&lt;=DAY(EOMONTH($C$3,0)),DATE(YEAR($C$3),MONTH($C$3),3),"")</f>
        <v/>
      </c>
      <c r="B15" s="10">
        <f>IF(A15="","",CHOOSE(WEEKDAY(A15),"日","月","火","水","木","金","土"))</f>
        <v/>
      </c>
      <c r="C15" s="11" t="n"/>
      <c r="D15" s="11" t="n"/>
      <c r="E15" s="11" t="n"/>
      <c r="F15" s="12">
        <f>IF(OR(C15="",D15=""),"",MAX(0,ROUND(MOD(D15-C15,1)*1440,0)-ROUND(N(E15)*1440,0))/1440)</f>
        <v/>
      </c>
      <c r="G15" s="5" t="n"/>
    </row>
    <row r="16">
      <c r="A16" s="9">
        <f>IF(4&lt;=DAY(EOMONTH($C$3,0)),DATE(YEAR($C$3),MONTH($C$3),4),"")</f>
        <v/>
      </c>
      <c r="B16" s="10">
        <f>IF(A16="","",CHOOSE(WEEKDAY(A16),"日","月","火","水","木","金","土"))</f>
        <v/>
      </c>
      <c r="C16" s="11" t="n"/>
      <c r="D16" s="11" t="n"/>
      <c r="E16" s="11" t="n"/>
      <c r="F16" s="12">
        <f>IF(OR(C16="",D16=""),"",MAX(0,ROUND(MOD(D16-C16,1)*1440,0)-ROUND(N(E16)*1440,0))/1440)</f>
        <v/>
      </c>
      <c r="G16" s="5" t="n"/>
    </row>
    <row r="17">
      <c r="A17" s="9">
        <f>IF(5&lt;=DAY(EOMONTH($C$3,0)),DATE(YEAR($C$3),MONTH($C$3),5),"")</f>
        <v/>
      </c>
      <c r="B17" s="10">
        <f>IF(A17="","",CHOOSE(WEEKDAY(A17),"日","月","火","水","木","金","土"))</f>
        <v/>
      </c>
      <c r="C17" s="11" t="n">
        <v>0.375</v>
      </c>
      <c r="D17" s="11" t="n">
        <v>0.7916666666666666</v>
      </c>
      <c r="E17" s="11" t="n">
        <v>0.04166666666666666</v>
      </c>
      <c r="F17" s="12">
        <f>IF(OR(C17="",D17=""),"",MAX(0,ROUND(MOD(D17-C17,1)*1440,0)-ROUND(N(E17)*1440,0))/1440)</f>
        <v/>
      </c>
      <c r="G17" s="5" t="inlineStr">
        <is>
          <t>詳細設計</t>
        </is>
      </c>
    </row>
    <row r="18">
      <c r="A18" s="9">
        <f>IF(6&lt;=DAY(EOMONTH($C$3,0)),DATE(YEAR($C$3),MONTH($C$3),6),"")</f>
        <v/>
      </c>
      <c r="B18" s="10">
        <f>IF(A18="","",CHOOSE(WEEKDAY(A18),"日","月","火","水","木","金","土"))</f>
        <v/>
      </c>
      <c r="C18" s="11" t="n">
        <v>0.375</v>
      </c>
      <c r="D18" s="11" t="n">
        <v>0.7916666666666666</v>
      </c>
      <c r="E18" s="11" t="n">
        <v>0.04166666666666666</v>
      </c>
      <c r="F18" s="12">
        <f>IF(OR(C18="",D18=""),"",MAX(0,ROUND(MOD(D18-C18,1)*1440,0)-ROUND(N(E18)*1440,0))/1440)</f>
        <v/>
      </c>
      <c r="G18" s="5" t="n"/>
    </row>
    <row r="19">
      <c r="A19" s="9">
        <f>IF(7&lt;=DAY(EOMONTH($C$3,0)),DATE(YEAR($C$3),MONTH($C$3),7),"")</f>
        <v/>
      </c>
      <c r="B19" s="10">
        <f>IF(A19="","",CHOOSE(WEEKDAY(A19),"日","月","火","水","木","金","土"))</f>
        <v/>
      </c>
      <c r="C19" s="11" t="n">
        <v>0.375</v>
      </c>
      <c r="D19" s="11" t="n">
        <v>0.7916666666666666</v>
      </c>
      <c r="E19" s="11" t="n">
        <v>0.04166666666666666</v>
      </c>
      <c r="F19" s="12">
        <f>IF(OR(C19="",D19=""),"",MAX(0,ROUND(MOD(D19-C19,1)*1440,0)-ROUND(N(E19)*1440,0))/1440)</f>
        <v/>
      </c>
      <c r="G19" s="5" t="n"/>
    </row>
    <row r="20">
      <c r="A20" s="9">
        <f>IF(8&lt;=DAY(EOMONTH($C$3,0)),DATE(YEAR($C$3),MONTH($C$3),8),"")</f>
        <v/>
      </c>
      <c r="B20" s="10">
        <f>IF(A20="","",CHOOSE(WEEKDAY(A20),"日","月","火","水","木","金","土"))</f>
        <v/>
      </c>
      <c r="C20" s="11" t="n">
        <v>0.375</v>
      </c>
      <c r="D20" s="11" t="n">
        <v>0.75</v>
      </c>
      <c r="E20" s="11" t="n">
        <v>0.04166666666666666</v>
      </c>
      <c r="F20" s="12">
        <f>IF(OR(C20="",D20=""),"",MAX(0,ROUND(MOD(D20-C20,1)*1440,0)-ROUND(N(E20)*1440,0))/1440)</f>
        <v/>
      </c>
      <c r="G20" s="5" t="n"/>
    </row>
    <row r="21">
      <c r="A21" s="9">
        <f>IF(9&lt;=DAY(EOMONTH($C$3,0)),DATE(YEAR($C$3),MONTH($C$3),9),"")</f>
        <v/>
      </c>
      <c r="B21" s="10">
        <f>IF(A21="","",CHOOSE(WEEKDAY(A21),"日","月","火","水","木","金","土"))</f>
        <v/>
      </c>
      <c r="C21" s="11" t="n">
        <v>0.375</v>
      </c>
      <c r="D21" s="11" t="n">
        <v>0.75</v>
      </c>
      <c r="E21" s="11" t="n">
        <v>0.04166666666666666</v>
      </c>
      <c r="F21" s="12">
        <f>IF(OR(C21="",D21=""),"",MAX(0,ROUND(MOD(D21-C21,1)*1440,0)-ROUND(N(E21)*1440,0))/1440)</f>
        <v/>
      </c>
      <c r="G21" s="5" t="n"/>
    </row>
    <row r="22">
      <c r="A22" s="9">
        <f>IF(10&lt;=DAY(EOMONTH($C$3,0)),DATE(YEAR($C$3),MONTH($C$3),10),"")</f>
        <v/>
      </c>
      <c r="B22" s="10">
        <f>IF(A22="","",CHOOSE(WEEKDAY(A22),"日","月","火","水","木","金","土"))</f>
        <v/>
      </c>
      <c r="C22" s="11" t="n"/>
      <c r="D22" s="11" t="n"/>
      <c r="E22" s="11" t="n"/>
      <c r="F22" s="12">
        <f>IF(OR(C22="",D22=""),"",MAX(0,ROUND(MOD(D22-C22,1)*1440,0)-ROUND(N(E22)*1440,0))/1440)</f>
        <v/>
      </c>
      <c r="G22" s="5" t="n"/>
    </row>
    <row r="23">
      <c r="A23" s="9">
        <f>IF(11&lt;=DAY(EOMONTH($C$3,0)),DATE(YEAR($C$3),MONTH($C$3),11),"")</f>
        <v/>
      </c>
      <c r="B23" s="10">
        <f>IF(A23="","",CHOOSE(WEEKDAY(A23),"日","月","火","水","木","金","土"))</f>
        <v/>
      </c>
      <c r="C23" s="11" t="n"/>
      <c r="D23" s="11" t="n"/>
      <c r="E23" s="11" t="n"/>
      <c r="F23" s="12">
        <f>IF(OR(C23="",D23=""),"",MAX(0,ROUND(MOD(D23-C23,1)*1440,0)-ROUND(N(E23)*1440,0))/1440)</f>
        <v/>
      </c>
      <c r="G23" s="5" t="n"/>
    </row>
    <row r="24">
      <c r="A24" s="9">
        <f>IF(12&lt;=DAY(EOMONTH($C$3,0)),DATE(YEAR($C$3),MONTH($C$3),12),"")</f>
        <v/>
      </c>
      <c r="B24" s="10">
        <f>IF(A24="","",CHOOSE(WEEKDAY(A24),"日","月","火","水","木","金","土"))</f>
        <v/>
      </c>
      <c r="C24" s="11" t="n"/>
      <c r="D24" s="11" t="n"/>
      <c r="E24" s="11" t="n"/>
      <c r="F24" s="12">
        <f>IF(OR(C24="",D24=""),"",MAX(0,ROUND(MOD(D24-C24,1)*1440,0)-ROUND(N(E24)*1440,0))/1440)</f>
        <v/>
      </c>
      <c r="G24" s="5" t="n"/>
    </row>
    <row r="25">
      <c r="A25" s="9">
        <f>IF(13&lt;=DAY(EOMONTH($C$3,0)),DATE(YEAR($C$3),MONTH($C$3),13),"")</f>
        <v/>
      </c>
      <c r="B25" s="10">
        <f>IF(A25="","",CHOOSE(WEEKDAY(A25),"日","月","火","水","木","金","土"))</f>
        <v/>
      </c>
      <c r="C25" s="11" t="n">
        <v>0.375</v>
      </c>
      <c r="D25" s="11" t="n">
        <v>0.7916666666666666</v>
      </c>
      <c r="E25" s="11" t="n">
        <v>0.04166666666666666</v>
      </c>
      <c r="F25" s="12">
        <f>IF(OR(C25="",D25=""),"",MAX(0,ROUND(MOD(D25-C25,1)*1440,0)-ROUND(N(E25)*1440,0))/1440)</f>
        <v/>
      </c>
      <c r="G25" s="5" t="inlineStr">
        <is>
          <t>実装</t>
        </is>
      </c>
    </row>
    <row r="26">
      <c r="A26" s="9">
        <f>IF(14&lt;=DAY(EOMONTH($C$3,0)),DATE(YEAR($C$3),MONTH($C$3),14),"")</f>
        <v/>
      </c>
      <c r="B26" s="10">
        <f>IF(A26="","",CHOOSE(WEEKDAY(A26),"日","月","火","水","木","金","土"))</f>
        <v/>
      </c>
      <c r="C26" s="11" t="n">
        <v>0.375</v>
      </c>
      <c r="D26" s="11" t="n">
        <v>0.7916666666666666</v>
      </c>
      <c r="E26" s="11" t="n">
        <v>0.04166666666666666</v>
      </c>
      <c r="F26" s="12">
        <f>IF(OR(C26="",D26=""),"",MAX(0,ROUND(MOD(D26-C26,1)*1440,0)-ROUND(N(E26)*1440,0))/1440)</f>
        <v/>
      </c>
      <c r="G26" s="5" t="n"/>
    </row>
    <row r="27">
      <c r="A27" s="9">
        <f>IF(15&lt;=DAY(EOMONTH($C$3,0)),DATE(YEAR($C$3),MONTH($C$3),15),"")</f>
        <v/>
      </c>
      <c r="B27" s="10">
        <f>IF(A27="","",CHOOSE(WEEKDAY(A27),"日","月","火","水","木","金","土"))</f>
        <v/>
      </c>
      <c r="C27" s="11" t="n">
        <v>0.375</v>
      </c>
      <c r="D27" s="11" t="n">
        <v>0.8541666666666666</v>
      </c>
      <c r="E27" s="11" t="n">
        <v>0.04166666666666666</v>
      </c>
      <c r="F27" s="12">
        <f>IF(OR(C27="",D27=""),"",MAX(0,ROUND(MOD(D27-C27,1)*1440,0)-ROUND(N(E27)*1440,0))/1440)</f>
        <v/>
      </c>
      <c r="G27" s="5" t="n"/>
    </row>
    <row r="28">
      <c r="A28" s="9">
        <f>IF(16&lt;=DAY(EOMONTH($C$3,0)),DATE(YEAR($C$3),MONTH($C$3),16),"")</f>
        <v/>
      </c>
      <c r="B28" s="10">
        <f>IF(A28="","",CHOOSE(WEEKDAY(A28),"日","月","火","水","木","金","土"))</f>
        <v/>
      </c>
      <c r="C28" s="11" t="n">
        <v>0.375</v>
      </c>
      <c r="D28" s="11" t="n">
        <v>0.75</v>
      </c>
      <c r="E28" s="11" t="n">
        <v>0.04166666666666666</v>
      </c>
      <c r="F28" s="12">
        <f>IF(OR(C28="",D28=""),"",MAX(0,ROUND(MOD(D28-C28,1)*1440,0)-ROUND(N(E28)*1440,0))/1440)</f>
        <v/>
      </c>
      <c r="G28" s="5" t="n"/>
    </row>
    <row r="29">
      <c r="A29" s="9">
        <f>IF(17&lt;=DAY(EOMONTH($C$3,0)),DATE(YEAR($C$3),MONTH($C$3),17),"")</f>
        <v/>
      </c>
      <c r="B29" s="10">
        <f>IF(A29="","",CHOOSE(WEEKDAY(A29),"日","月","火","水","木","金","土"))</f>
        <v/>
      </c>
      <c r="C29" s="11" t="n"/>
      <c r="D29" s="11" t="n"/>
      <c r="E29" s="11" t="n"/>
      <c r="F29" s="12">
        <f>IF(OR(C29="",D29=""),"",MAX(0,ROUND(MOD(D29-C29,1)*1440,0)-ROUND(N(E29)*1440,0))/1440)</f>
        <v/>
      </c>
      <c r="G29" s="5" t="n"/>
    </row>
    <row r="30">
      <c r="A30" s="9">
        <f>IF(18&lt;=DAY(EOMONTH($C$3,0)),DATE(YEAR($C$3),MONTH($C$3),18),"")</f>
        <v/>
      </c>
      <c r="B30" s="10">
        <f>IF(A30="","",CHOOSE(WEEKDAY(A30),"日","月","火","水","木","金","土"))</f>
        <v/>
      </c>
      <c r="C30" s="11" t="n"/>
      <c r="D30" s="11" t="n"/>
      <c r="E30" s="11" t="n"/>
      <c r="F30" s="12">
        <f>IF(OR(C30="",D30=""),"",MAX(0,ROUND(MOD(D30-C30,1)*1440,0)-ROUND(N(E30)*1440,0))/1440)</f>
        <v/>
      </c>
      <c r="G30" s="5" t="n"/>
    </row>
    <row r="31">
      <c r="A31" s="9">
        <f>IF(19&lt;=DAY(EOMONTH($C$3,0)),DATE(YEAR($C$3),MONTH($C$3),19),"")</f>
        <v/>
      </c>
      <c r="B31" s="10">
        <f>IF(A31="","",CHOOSE(WEEKDAY(A31),"日","月","火","水","木","金","土"))</f>
        <v/>
      </c>
      <c r="C31" s="11" t="n">
        <v>0.375</v>
      </c>
      <c r="D31" s="11" t="n">
        <v>0.7916666666666666</v>
      </c>
      <c r="E31" s="11" t="n">
        <v>0.04166666666666666</v>
      </c>
      <c r="F31" s="12">
        <f>IF(OR(C31="",D31=""),"",MAX(0,ROUND(MOD(D31-C31,1)*1440,0)-ROUND(N(E31)*1440,0))/1440)</f>
        <v/>
      </c>
      <c r="G31" s="5" t="inlineStr">
        <is>
          <t>実装</t>
        </is>
      </c>
    </row>
    <row r="32">
      <c r="A32" s="9">
        <f>IF(20&lt;=DAY(EOMONTH($C$3,0)),DATE(YEAR($C$3),MONTH($C$3),20),"")</f>
        <v/>
      </c>
      <c r="B32" s="10">
        <f>IF(A32="","",CHOOSE(WEEKDAY(A32),"日","月","火","水","木","金","土"))</f>
        <v/>
      </c>
      <c r="C32" s="11" t="n">
        <v>0.375</v>
      </c>
      <c r="D32" s="11" t="n">
        <v>0.7916666666666666</v>
      </c>
      <c r="E32" s="11" t="n">
        <v>0.04166666666666666</v>
      </c>
      <c r="F32" s="12">
        <f>IF(OR(C32="",D32=""),"",MAX(0,ROUND(MOD(D32-C32,1)*1440,0)-ROUND(N(E32)*1440,0))/1440)</f>
        <v/>
      </c>
      <c r="G32" s="5" t="n"/>
    </row>
    <row r="33">
      <c r="A33" s="9">
        <f>IF(21&lt;=DAY(EOMONTH($C$3,0)),DATE(YEAR($C$3),MONTH($C$3),21),"")</f>
        <v/>
      </c>
      <c r="B33" s="10">
        <f>IF(A33="","",CHOOSE(WEEKDAY(A33),"日","月","火","水","木","金","土"))</f>
        <v/>
      </c>
      <c r="C33" s="11" t="n">
        <v>0.375</v>
      </c>
      <c r="D33" s="11" t="n">
        <v>0.75</v>
      </c>
      <c r="E33" s="11" t="n">
        <v>0.04166666666666666</v>
      </c>
      <c r="F33" s="12">
        <f>IF(OR(C33="",D33=""),"",MAX(0,ROUND(MOD(D33-C33,1)*1440,0)-ROUND(N(E33)*1440,0))/1440)</f>
        <v/>
      </c>
      <c r="G33" s="5" t="n"/>
    </row>
    <row r="34">
      <c r="A34" s="9">
        <f>IF(22&lt;=DAY(EOMONTH($C$3,0)),DATE(YEAR($C$3),MONTH($C$3),22),"")</f>
        <v/>
      </c>
      <c r="B34" s="10">
        <f>IF(A34="","",CHOOSE(WEEKDAY(A34),"日","月","火","水","木","金","土"))</f>
        <v/>
      </c>
      <c r="C34" s="11" t="n">
        <v>0.375</v>
      </c>
      <c r="D34" s="11" t="n">
        <v>0.8541666666666666</v>
      </c>
      <c r="E34" s="11" t="n">
        <v>0.04166666666666666</v>
      </c>
      <c r="F34" s="12">
        <f>IF(OR(C34="",D34=""),"",MAX(0,ROUND(MOD(D34-C34,1)*1440,0)-ROUND(N(E34)*1440,0))/1440)</f>
        <v/>
      </c>
      <c r="G34" s="5" t="n"/>
    </row>
    <row r="35">
      <c r="A35" s="9">
        <f>IF(23&lt;=DAY(EOMONTH($C$3,0)),DATE(YEAR($C$3),MONTH($C$3),23),"")</f>
        <v/>
      </c>
      <c r="B35" s="10">
        <f>IF(A35="","",CHOOSE(WEEKDAY(A35),"日","月","火","水","木","金","土"))</f>
        <v/>
      </c>
      <c r="C35" s="11" t="n">
        <v>0.375</v>
      </c>
      <c r="D35" s="11" t="n">
        <v>0.75</v>
      </c>
      <c r="E35" s="11" t="n">
        <v>0.04166666666666666</v>
      </c>
      <c r="F35" s="12">
        <f>IF(OR(C35="",D35=""),"",MAX(0,ROUND(MOD(D35-C35,1)*1440,0)-ROUND(N(E35)*1440,0))/1440)</f>
        <v/>
      </c>
      <c r="G35" s="5" t="n"/>
    </row>
    <row r="36">
      <c r="A36" s="9">
        <f>IF(24&lt;=DAY(EOMONTH($C$3,0)),DATE(YEAR($C$3),MONTH($C$3),24),"")</f>
        <v/>
      </c>
      <c r="B36" s="10">
        <f>IF(A36="","",CHOOSE(WEEKDAY(A36),"日","月","火","水","木","金","土"))</f>
        <v/>
      </c>
      <c r="C36" s="11" t="n"/>
      <c r="D36" s="11" t="n"/>
      <c r="E36" s="11" t="n"/>
      <c r="F36" s="12">
        <f>IF(OR(C36="",D36=""),"",MAX(0,ROUND(MOD(D36-C36,1)*1440,0)-ROUND(N(E36)*1440,0))/1440)</f>
        <v/>
      </c>
      <c r="G36" s="5" t="n"/>
    </row>
    <row r="37">
      <c r="A37" s="9">
        <f>IF(25&lt;=DAY(EOMONTH($C$3,0)),DATE(YEAR($C$3),MONTH($C$3),25),"")</f>
        <v/>
      </c>
      <c r="B37" s="10">
        <f>IF(A37="","",CHOOSE(WEEKDAY(A37),"日","月","火","水","木","金","土"))</f>
        <v/>
      </c>
      <c r="C37" s="11" t="n"/>
      <c r="D37" s="11" t="n"/>
      <c r="E37" s="11" t="n"/>
      <c r="F37" s="12">
        <f>IF(OR(C37="",D37=""),"",MAX(0,ROUND(MOD(D37-C37,1)*1440,0)-ROUND(N(E37)*1440,0))/1440)</f>
        <v/>
      </c>
      <c r="G37" s="5" t="n"/>
    </row>
    <row r="38">
      <c r="A38" s="9">
        <f>IF(26&lt;=DAY(EOMONTH($C$3,0)),DATE(YEAR($C$3),MONTH($C$3),26),"")</f>
        <v/>
      </c>
      <c r="B38" s="10">
        <f>IF(A38="","",CHOOSE(WEEKDAY(A38),"日","月","火","水","木","金","土"))</f>
        <v/>
      </c>
      <c r="C38" s="11" t="n">
        <v>0.375</v>
      </c>
      <c r="D38" s="11" t="n">
        <v>0.7916666666666666</v>
      </c>
      <c r="E38" s="11" t="n">
        <v>0.04166666666666666</v>
      </c>
      <c r="F38" s="12">
        <f>IF(OR(C38="",D38=""),"",MAX(0,ROUND(MOD(D38-C38,1)*1440,0)-ROUND(N(E38)*1440,0))/1440)</f>
        <v/>
      </c>
      <c r="G38" s="5" t="inlineStr">
        <is>
          <t>結合テスト</t>
        </is>
      </c>
    </row>
    <row r="39">
      <c r="A39" s="9">
        <f>IF(27&lt;=DAY(EOMONTH($C$3,0)),DATE(YEAR($C$3),MONTH($C$3),27),"")</f>
        <v/>
      </c>
      <c r="B39" s="10">
        <f>IF(A39="","",CHOOSE(WEEKDAY(A39),"日","月","火","水","木","金","土"))</f>
        <v/>
      </c>
      <c r="C39" s="11" t="n">
        <v>0.375</v>
      </c>
      <c r="D39" s="11" t="n">
        <v>0.7916666666666666</v>
      </c>
      <c r="E39" s="11" t="n">
        <v>0.04166666666666666</v>
      </c>
      <c r="F39" s="12">
        <f>IF(OR(C39="",D39=""),"",MAX(0,ROUND(MOD(D39-C39,1)*1440,0)-ROUND(N(E39)*1440,0))/1440)</f>
        <v/>
      </c>
      <c r="G39" s="5" t="n"/>
    </row>
    <row r="40">
      <c r="A40" s="9">
        <f>IF(28&lt;=DAY(EOMONTH($C$3,0)),DATE(YEAR($C$3),MONTH($C$3),28),"")</f>
        <v/>
      </c>
      <c r="B40" s="10">
        <f>IF(A40="","",CHOOSE(WEEKDAY(A40),"日","月","火","水","木","金","土"))</f>
        <v/>
      </c>
      <c r="C40" s="11" t="n">
        <v>0.375</v>
      </c>
      <c r="D40" s="11" t="n">
        <v>0.7916666666666666</v>
      </c>
      <c r="E40" s="11" t="n">
        <v>0.04166666666666666</v>
      </c>
      <c r="F40" s="12">
        <f>IF(OR(C40="",D40=""),"",MAX(0,ROUND(MOD(D40-C40,1)*1440,0)-ROUND(N(E40)*1440,0))/1440)</f>
        <v/>
      </c>
      <c r="G40" s="5" t="n"/>
    </row>
    <row r="41">
      <c r="A41" s="9">
        <f>IF(29&lt;=DAY(EOMONTH($C$3,0)),DATE(YEAR($C$3),MONTH($C$3),29),"")</f>
        <v/>
      </c>
      <c r="B41" s="10">
        <f>IF(A41="","",CHOOSE(WEEKDAY(A41),"日","月","火","水","木","金","土"))</f>
        <v/>
      </c>
      <c r="C41" s="11" t="n">
        <v>0.375</v>
      </c>
      <c r="D41" s="11" t="n">
        <v>0.8541666666666666</v>
      </c>
      <c r="E41" s="11" t="n">
        <v>0.04166666666666666</v>
      </c>
      <c r="F41" s="12">
        <f>IF(OR(C41="",D41=""),"",MAX(0,ROUND(MOD(D41-C41,1)*1440,0)-ROUND(N(E41)*1440,0))/1440)</f>
        <v/>
      </c>
      <c r="G41" s="5" t="n"/>
    </row>
    <row r="42">
      <c r="A42" s="9">
        <f>IF(30&lt;=DAY(EOMONTH($C$3,0)),DATE(YEAR($C$3),MONTH($C$3),30),"")</f>
        <v/>
      </c>
      <c r="B42" s="10">
        <f>IF(A42="","",CHOOSE(WEEKDAY(A42),"日","月","火","水","木","金","土"))</f>
        <v/>
      </c>
      <c r="C42" s="11" t="n">
        <v>0.375</v>
      </c>
      <c r="D42" s="11" t="n">
        <v>0.75</v>
      </c>
      <c r="E42" s="11" t="n">
        <v>0.04166666666666666</v>
      </c>
      <c r="F42" s="12">
        <f>IF(OR(C42="",D42=""),"",MAX(0,ROUND(MOD(D42-C42,1)*1440,0)-ROUND(N(E42)*1440,0))/1440)</f>
        <v/>
      </c>
      <c r="G42" s="5" t="n"/>
    </row>
    <row r="43">
      <c r="A43" s="9">
        <f>IF(31&lt;=DAY(EOMONTH($C$3,0)),DATE(YEAR($C$3),MONTH($C$3),31),"")</f>
        <v/>
      </c>
      <c r="B43" s="10">
        <f>IF(A43="","",CHOOSE(WEEKDAY(A43),"日","月","火","水","木","金","土"))</f>
        <v/>
      </c>
      <c r="C43" s="11" t="n"/>
      <c r="D43" s="11" t="n"/>
      <c r="E43" s="11" t="n"/>
      <c r="F43" s="12">
        <f>IF(OR(C43="",D43=""),"",MAX(0,ROUND(MOD(D43-C43,1)*1440,0)-ROUND(N(E43)*1440,0))/1440)</f>
        <v/>
      </c>
      <c r="G43" s="5" t="n"/>
    </row>
    <row r="45">
      <c r="A45" s="2" t="inlineStr">
        <is>
          <t>稼働日数</t>
        </is>
      </c>
      <c r="C45" s="13">
        <f>COUNTIF(F13:F43,"&gt;0")</f>
        <v/>
      </c>
      <c r="D45" t="inlineStr">
        <is>
          <t>日</t>
        </is>
      </c>
    </row>
    <row r="46">
      <c r="A46" s="2" t="inlineStr">
        <is>
          <t>合計</t>
        </is>
      </c>
      <c r="C46" s="14">
        <f>SUM(F13:F43)</f>
        <v/>
      </c>
    </row>
    <row r="47">
      <c r="A47" s="2" t="inlineStr">
        <is>
          <t>合計（時間）</t>
        </is>
      </c>
      <c r="C47" s="15">
        <f>ROUND(SUM(F13:F43)*1440,0)/60</f>
        <v/>
      </c>
      <c r="D47" t="inlineStr">
        <is>
          <t>時間</t>
        </is>
      </c>
    </row>
    <row r="48">
      <c r="A48" s="2" t="inlineStr">
        <is>
          <t>精算に使う実績</t>
        </is>
      </c>
      <c r="C48" s="15">
        <f>IF(N(C9)&gt;0,INT(ROUND(SUM(F13:F43)*1440,0)/C9)*C9,ROUND(SUM(F13:F43)*1440,0))/60</f>
        <v/>
      </c>
      <c r="D48" t="inlineStr">
        <is>
          <t>時間（刻んだ後）</t>
        </is>
      </c>
    </row>
    <row r="49">
      <c r="A49" s="2" t="inlineStr">
        <is>
          <t>上限を超えた時間</t>
        </is>
      </c>
      <c r="C49" s="15">
        <f>IF(AND(N(C8)&gt;0,ROUND(C48*60,0)&gt;ROUND(C8*60,0)),(ROUND(C48*60,0)-ROUND(C8*60,0))/60,0)</f>
        <v/>
      </c>
      <c r="D49" t="inlineStr">
        <is>
          <t>時間</t>
        </is>
      </c>
    </row>
    <row r="50">
      <c r="A50" s="2" t="inlineStr">
        <is>
          <t>下限に足りない時間</t>
        </is>
      </c>
      <c r="C50" s="15">
        <f>IF(AND(C49=0,N(C7)&gt;0,ROUND(C48*60,0)&lt;ROUND(C7*60,0)),(ROUND(C7*60,0)-ROUND(C48*60,0))/60,0)</f>
        <v/>
      </c>
      <c r="D50" t="inlineStr">
        <is>
          <t>時間</t>
        </is>
      </c>
    </row>
    <row r="52">
      <c r="A52" s="2" t="inlineStr">
        <is>
          <t>作業者の確認</t>
        </is>
      </c>
      <c r="C52" s="16" t="n"/>
      <c r="E52" s="2" t="inlineStr">
        <is>
          <t>客先の確認</t>
        </is>
      </c>
      <c r="G52" s="16" t="n"/>
    </row>
  </sheetData>
  <mergeCells count="4">
    <mergeCell ref="C6:G6"/>
    <mergeCell ref="C5:G5"/>
    <mergeCell ref="C4:G4"/>
    <mergeCell ref="C3:D3"/>
  </mergeCells>
  <conditionalFormatting sqref="A13:G43">
    <cfRule type="expression" priority="1" dxfId="0">
      <formula>OR($B13="土",$B13="日")</formula>
    </cfRule>
  </conditionalFormatting>
  <dataValidations count="3">
    <dataValidation sqref="C9" showDropDown="0" showInputMessage="0" showErrorMessage="1" allowBlank="0" errorTitle="実績の刻み" error="0・15・30・60 から選んでください" type="list">
      <formula1>"0,15,30,60"</formula1>
    </dataValidation>
    <dataValidation sqref="C7:C8" showDropDown="0" showInputMessage="0" showErrorMessage="1" allowBlank="1" errorTitle="精算幅" error="時間の数で入れてください（精算しないなら 0）" type="decimal" operator="greaterThanOrEqual">
      <formula1>0</formula1>
    </dataValidation>
    <dataValidation sqref="C13:E43" showDropDown="0" showInputMessage="0" showErrorMessage="1" allowBlank="1" errorTitle="時刻" error="時刻は 9:00 の形で入れてください（休憩も 1:00 の形）" type="time" operator="between">
      <formula1>0</formula1>
      <formula2>0.999988</formula2>
    </dataValidation>
  </dataValidations>
  <pageMargins left="0.75" right="0.75" top="1" bottom="1" header="0.5" footer="0.5"/>
  <pageSetup fitToHeight="1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2" customWidth="1" min="1" max="1"/>
    <col width="90" customWidth="1" min="2" max="2"/>
  </cols>
  <sheetData>
    <row r="1">
      <c r="A1" s="17" t="inlineStr">
        <is>
          <t>SES の作業報告書（雛形）</t>
        </is>
      </c>
      <c r="B1" t="inlineStr"/>
    </row>
    <row r="2">
      <c r="A2" s="18" t="inlineStr">
        <is>
          <t>まず</t>
        </is>
      </c>
      <c r="B2" s="19" t="inlineStr">
        <is>
          <t>「作業報告書」シートの対象月（C3）に月の1日を入れると、日付と曜日が出ます。働いた日に、開始・終了・休憩を「9:00」の形で入れると、その日の実働と月の合計が出ます。2026年10月の架空の例（21日・186.5時間）が入っています。</t>
        </is>
      </c>
    </row>
    <row r="3">
      <c r="A3" s="18" t="inlineStr">
        <is>
          <t>精算幅</t>
        </is>
      </c>
      <c r="B3" s="19" t="inlineStr">
        <is>
          <t>下限・上限（時間）と実績の刻みを、契約書（注文書）に合わせて入れると、精算に使う実績と、上限を超えた時間・下限に足りない時間が出ます。刻みは月の合計に1回（0＝刻まない、15・30・60＝その分未満を切り捨て）。日ごとに刻む契約なら、刻んだ時刻を入れてください。</t>
        </is>
      </c>
    </row>
    <row r="4">
      <c r="A4" s="18" t="inlineStr">
        <is>
          <t>日をまたぐ作業</t>
        </is>
      </c>
      <c r="B4" s="19" t="inlineStr">
        <is>
          <t>終了が開始より前の時刻なら、日をまたいだとして数えます（22:00〜6:00 なら8時間）。休憩の方が長い日は0時間です。</t>
        </is>
      </c>
    </row>
    <row r="5">
      <c r="A5" s="18" t="inlineStr">
        <is>
          <t>次は精算と請求書</t>
        </is>
      </c>
      <c r="B5" s="19" t="inlineStr">
        <is>
          <t>「精算に使う実績」の時間を、精算の雛形（https://shimegakari.com/hinagata/）の実績の列に入れると、超過・控除の額と請求額が出ます。請求書は、請求書の雛形（https://shimegakari.com/seikyusho/）へ。例の186.5時間なら、月額65万円・140〜180時間・上下割で 673,465円 です。</t>
        </is>
      </c>
    </row>
    <row r="6">
      <c r="A6" s="18" t="inlineStr">
        <is>
          <t>毎月の締めを任せるなら</t>
        </is>
      </c>
      <c r="B6" s="19" t="inlineStr">
        <is>
          <t>作業報告書をお送りいただければ、精算の計算・客先への請求書・協力会社の請求との突き合わせまでお届けします。技術者1名あたり月1,000円（税別）。先月分の検算は無料です。
https://shimegakari.com/</t>
        </is>
      </c>
    </row>
    <row r="7">
      <c r="A7" s="18" t="inlineStr">
        <is>
          <t>作成</t>
        </is>
      </c>
      <c r="B7" s="19" t="inlineStr">
        <is>
          <t>締め係（https://shimegakari.com/）。社内で自由に使って、配っていただいて大丈夫です。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締め係</dc:creator>
  <dc:title xmlns:dc="http://purl.org/dc/elements/1.1/">SES の作業報告書（雛形）</dc:title>
  <dcterms:created xmlns:dcterms="http://purl.org/dc/terms/" xmlns:xsi="http://www.w3.org/2001/XMLSchema-instance" xsi:type="dcterms:W3CDTF">2026-11-04T06:39:25Z</dcterms:created>
  <dcterms:modified xmlns:dcterms="http://purl.org/dc/terms/" xmlns:xsi="http://www.w3.org/2001/XMLSchema-instance" xsi:type="dcterms:W3CDTF">2026-11-04T06:39:25Z</dcterms:modified>
  <cp:lastModifiedBy>締め係</cp:lastModifiedBy>
</cp:coreProperties>
</file>